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lsm" ContentType="application/vnd.ms-excel.sheet.macroEnabled.12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fenya\Documents\BEE4750\Project\data\"/>
    </mc:Choice>
  </mc:AlternateContent>
  <xr:revisionPtr revIDLastSave="0" documentId="8_{FD9AFEF0-29A0-48C3-B791-6E95771BB727}" xr6:coauthVersionLast="47" xr6:coauthVersionMax="47" xr10:uidLastSave="{00000000-0000-0000-0000-000000000000}"/>
  <bookViews>
    <workbookView xWindow="-120" yWindow="-120" windowWidth="20730" windowHeight="11040" activeTab="1" xr2:uid="{850CCBD0-4117-4CBA-9C37-9CA2087D62BE}"/>
  </bookViews>
  <sheets>
    <sheet name="Gen_data_CU" sheetId="1" r:id="rId1"/>
    <sheet name="Heat_CU_data" sheetId="6" r:id="rId2"/>
    <sheet name="Q1-5" sheetId="2" r:id="rId3"/>
    <sheet name="Data from CU Heat System" sheetId="4" r:id="rId4"/>
    <sheet name="Solar capacity" sheetId="5" r:id="rId5"/>
  </sheets>
  <externalReferences>
    <externalReference r:id="rId6"/>
  </externalReferences>
  <calcPr calcId="0"/>
</workbook>
</file>

<file path=xl/calcChain.xml><?xml version="1.0" encoding="utf-8"?>
<calcChain xmlns="http://schemas.openxmlformats.org/spreadsheetml/2006/main">
  <c r="E3" i="6" l="1"/>
  <c r="C43" i="4"/>
  <c r="C44" i="4"/>
  <c r="C45" i="4"/>
  <c r="E2" i="6"/>
  <c r="D2" i="6"/>
  <c r="C2" i="6"/>
  <c r="C32" i="4"/>
  <c r="C30" i="4"/>
  <c r="C31" i="4"/>
  <c r="B3" i="1" l="1"/>
  <c r="B1" i="5"/>
  <c r="C89" i="4"/>
  <c r="B89" i="4"/>
  <c r="D87" i="4"/>
  <c r="B84" i="4"/>
  <c r="B80" i="4"/>
  <c r="B81" i="4"/>
  <c r="D26" i="4"/>
  <c r="B4" i="4"/>
  <c r="D25" i="4"/>
  <c r="G33" i="4"/>
  <c r="G39" i="4" s="1"/>
  <c r="D41" i="4" s="1"/>
  <c r="G34" i="4"/>
  <c r="C41" i="4"/>
  <c r="C72" i="4"/>
  <c r="C40" i="4" l="1"/>
  <c r="G38" i="4"/>
  <c r="D40" i="4" l="1"/>
  <c r="G41" i="4"/>
  <c r="C73" i="4" l="1"/>
  <c r="C2" i="1"/>
  <c r="D2" i="1"/>
  <c r="B28" i="2"/>
  <c r="B26" i="2"/>
  <c r="B27" i="2"/>
  <c r="D4" i="2" l="1"/>
  <c r="B4" i="2" s="1"/>
  <c r="B22" i="2" s="1"/>
  <c r="B5" i="2"/>
  <c r="B9" i="2"/>
  <c r="B17" i="2"/>
  <c r="B20" i="2"/>
  <c r="B21" i="2"/>
  <c r="B23" i="2"/>
  <c r="B24" i="2"/>
  <c r="E32" i="2" l="1"/>
  <c r="E33" i="2" s="1"/>
  <c r="C32" i="2"/>
  <c r="C33" i="2" s="1"/>
  <c r="B35" i="2"/>
  <c r="D32" i="2"/>
  <c r="D33" i="2" s="1"/>
  <c r="B32" i="2"/>
  <c r="B33" i="2" s="1"/>
  <c r="F33" i="2" l="1"/>
  <c r="B36" i="2" s="1"/>
</calcChain>
</file>

<file path=xl/sharedStrings.xml><?xml version="1.0" encoding="utf-8"?>
<sst xmlns="http://schemas.openxmlformats.org/spreadsheetml/2006/main" count="124" uniqueCount="107">
  <si>
    <t>Capacity</t>
  </si>
  <si>
    <t>VarCost</t>
  </si>
  <si>
    <t>Emissions</t>
  </si>
  <si>
    <t>NG</t>
  </si>
  <si>
    <t>Solar</t>
  </si>
  <si>
    <t>4) Implied cost per US ton</t>
  </si>
  <si>
    <t>4) CO2 displaced (US tons)</t>
  </si>
  <si>
    <t>Value</t>
  </si>
  <si>
    <t>3)</t>
  </si>
  <si>
    <t>Generation (1/4 of annual)</t>
  </si>
  <si>
    <t>REC price</t>
  </si>
  <si>
    <t>Q4</t>
  </si>
  <si>
    <t>Q3</t>
  </si>
  <si>
    <t>Q2</t>
  </si>
  <si>
    <t>Q1</t>
  </si>
  <si>
    <t>https://www.nyserda.ny.gov/All-Programs/Clean-Energy-Standard/LSE-Obligations/2023-Compliance-Year</t>
  </si>
  <si>
    <t>2) Cornell’s fuel cost per ($/MWh)</t>
  </si>
  <si>
    <t>2) Heat Rate (BTU/kWh)</t>
  </si>
  <si>
    <t>e) Net exports</t>
  </si>
  <si>
    <t>MWh</t>
  </si>
  <si>
    <t>d)</t>
  </si>
  <si>
    <t>c)</t>
  </si>
  <si>
    <t>b)</t>
  </si>
  <si>
    <t>a)</t>
  </si>
  <si>
    <t>Cost of natural gas ($/Btu)</t>
  </si>
  <si>
    <t>https://www.eia.gov/dnav/ng/hist/rngwhhdA.htm</t>
  </si>
  <si>
    <t>ton/kg</t>
  </si>
  <si>
    <t>Metric ton CO2/MMBtu (conversion factor)</t>
  </si>
  <si>
    <t>kg CO2/Mmbtu natural gas</t>
  </si>
  <si>
    <t>https://www.eia.gov/environment/emissions/co2_vol_mass.php</t>
  </si>
  <si>
    <t>kWh/MWh</t>
  </si>
  <si>
    <t>Grid CO2 Emission Factor (kg/MWh)</t>
  </si>
  <si>
    <t>BTU in (Turbines + Duct Burners)</t>
  </si>
  <si>
    <t>Electricity (Grid Purchased) (Mwh)</t>
  </si>
  <si>
    <t>Electricity Exported to Grid (Mwh)</t>
  </si>
  <si>
    <t>Lake Source Cooling</t>
  </si>
  <si>
    <t>Cornell Utilities Steam Turbine - Cogen+- CCHPP</t>
  </si>
  <si>
    <t>million KWH</t>
  </si>
  <si>
    <t>Contracted solar (https://sustainablecampus.cornell.edu/buildings-energy/solar-energy)</t>
  </si>
  <si>
    <t>Cornell Utilities Hydro</t>
  </si>
  <si>
    <t>Total Campus Sales</t>
  </si>
  <si>
    <t>https://fcs.cornell.edu/sites/default/files/2024-05/Fast%20Facts%20FY23.pdf</t>
  </si>
  <si>
    <t>Metric tons Per MMBTu NG in (EIA)</t>
  </si>
  <si>
    <t>CO2 emissions (metric tons/MWh)</t>
  </si>
  <si>
    <t>Approximate total steam use for 2023 fiscal year (L)</t>
  </si>
  <si>
    <t>kBtu per Lb of district steam (from https://portfoliomanager.energystar.gov/pdf/reference/Thermal%20Conversions.pdf)</t>
  </si>
  <si>
    <t>Approximate kBTu of steam</t>
  </si>
  <si>
    <t>convert to MMBTU of natural gas required, accounting for distribution losses</t>
  </si>
  <si>
    <t>metric tons emitted by passanger vehicle in a year (https://www.epa.gov/greenvehicles/greenhouse-gas-emissions-typical-passenger-vehicle)</t>
  </si>
  <si>
    <t>Percent increase in total emissions for 30-35-GWP100</t>
  </si>
  <si>
    <t>total tons CO2e</t>
  </si>
  <si>
    <t>Not sure if this is right, listed as total # of boreholes</t>
  </si>
  <si>
    <t>Number of HPs required for entire campus</t>
  </si>
  <si>
    <t>GWP value (100 years horizon)</t>
  </si>
  <si>
    <t>amount of R-410A per heat pump (kg)</t>
  </si>
  <si>
    <t>Emissions resulting from total leakage of refrigerent (based on https://doi.org/10.1111/jiec.12166, using GWP100)</t>
  </si>
  <si>
    <t>"Beyond 2030, emission factors can be estimated by linear interpolation to zero, since achieving the 2040 clean electricity mandate would result in zero GHG emissions associated with electricity by 2040."</t>
  </si>
  <si>
    <t>Marginal CO2 and CH4 emissions rate (tons/MWh)</t>
  </si>
  <si>
    <t xml:space="preserve">Efficiency using Jacob's method </t>
  </si>
  <si>
    <t>Required electricity for heat pumps using Jacob's method</t>
  </si>
  <si>
    <t>Required electricity for ESH using Jacob's method</t>
  </si>
  <si>
    <t>Heat pump conversion (MWh/MMBtu)</t>
  </si>
  <si>
    <t>Earth-source heat conversion (MWh/MMBtu)</t>
  </si>
  <si>
    <t>Factor for heat pumps (steam production after distribution losses/ NG used)</t>
  </si>
  <si>
    <t>old method</t>
  </si>
  <si>
    <t>Jacob's method</t>
  </si>
  <si>
    <t>Factor for ESH (steam production before distribution losses/ NG used)</t>
  </si>
  <si>
    <t>Heat pump conversion</t>
  </si>
  <si>
    <t>Efficiency factors (MMBtu of steam produced per MMBtu of natural gas required). Factor for ESH considers distribution losses, while factor for HPs does not.</t>
  </si>
  <si>
    <t>Mwh/MMBtu (unit conversion)</t>
  </si>
  <si>
    <t>Earth-source heat conversion</t>
  </si>
  <si>
    <t>Another potential source on heat pumps: https://www.nrel.gov/docs/fy21osti/79479.pdf</t>
  </si>
  <si>
    <t>COPs (HPs: 5 based on Cowen, 3.6 from Jens Ponikau. ESH: 15-20 from Cowen)</t>
  </si>
  <si>
    <t>Implicit steam production before distrib ad building losses</t>
  </si>
  <si>
    <t>Implicit gas consumption for heat (after combustion losses) (trillion BTU)</t>
  </si>
  <si>
    <t>Electricity production conversion (MWh/MMBtu)</t>
  </si>
  <si>
    <t>Total Turbine Electric Generation (converted to MWh)</t>
  </si>
  <si>
    <t>MWh/trillion BTU (unit conversion)</t>
  </si>
  <si>
    <t>trillion BTU</t>
  </si>
  <si>
    <t>Total steam sales (trillion BTU)</t>
  </si>
  <si>
    <t>Total Steam Generation (trillion BTU)</t>
  </si>
  <si>
    <t>Total Distrib and Building Steam Losses (%)</t>
  </si>
  <si>
    <t>Efficiency (%)</t>
  </si>
  <si>
    <t>Total Turbine Electric Generation</t>
  </si>
  <si>
    <t>MMBtu</t>
  </si>
  <si>
    <t>Building energy usage</t>
  </si>
  <si>
    <t>2023 primary natural gas consumption</t>
  </si>
  <si>
    <t xml:space="preserve"> https://fcs.cornell.edu/sites/default/files/2024-05/Fast%20Facts%20FY23.pdf</t>
  </si>
  <si>
    <t>Fiscal Year 2023 Central Energy Plant (CEP) Fast Facts</t>
  </si>
  <si>
    <t>Global Warming Potentials (https://erce.energy/erceipccsixthassessment/)</t>
  </si>
  <si>
    <t>Methane leakage rate from Memo on Upstream Methane Emissions (Todd Cowen)</t>
  </si>
  <si>
    <t>metric ton CO2/MMBtu</t>
  </si>
  <si>
    <t>metric ton/kg (unit conversion)</t>
  </si>
  <si>
    <t>kg CO2/Mmbtu (from link above)</t>
  </si>
  <si>
    <t>Gas CO₂ Rate (metric ton/MMBtu)</t>
  </si>
  <si>
    <t xml:space="preserve">MMBTU heat /lb steam </t>
  </si>
  <si>
    <t>From Bert Bland</t>
  </si>
  <si>
    <t>Steam (lb/hour)</t>
  </si>
  <si>
    <t>MW electricity</t>
  </si>
  <si>
    <t>MMBTu/MW</t>
  </si>
  <si>
    <t>Capacity (MW)</t>
  </si>
  <si>
    <t>https://sustainablecampus.cornell.edu/buildings-energy/solar-energy</t>
  </si>
  <si>
    <t>https://www.districtenergyaward.org/wp-content/uploads/2013/07/USA_Cornell-CHP-Project_Summary.pdf</t>
  </si>
  <si>
    <t>Natural gas capacity</t>
  </si>
  <si>
    <t>2 15 MW turbines</t>
  </si>
  <si>
    <t>HPs</t>
  </si>
  <si>
    <t>Conversion Factor (MWh/MMBTU)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</si>
</sst>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0.0%"/>
    <numFmt numFmtId="170" formatCode="0.000000"/>
  </numFmts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5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11">
    <xf numFmtId="0" fontId="0" fillId="0" borderId="0" xfId="0"/>
    <xf numFmtId="44" fontId="0" fillId="0" borderId="0" xfId="1" applyFont="1"/>
    <xf numFmtId="44" fontId="0" fillId="33" borderId="0" xfId="1" applyFont="1" applyFill="1"/>
    <xf numFmtId="0" fontId="18" fillId="0" borderId="0" xfId="44"/>
    <xf numFmtId="0" fontId="0" fillId="33" borderId="0" xfId="0" quotePrefix="1" applyFill="1"/>
    <xf numFmtId="0" fontId="0" fillId="33" borderId="0" xfId="0" applyFill="1"/>
    <xf numFmtId="3" fontId="0" fillId="33" borderId="0" xfId="0" applyNumberFormat="1" applyFill="1"/>
    <xf numFmtId="3" fontId="0" fillId="0" borderId="0" xfId="0" applyNumberFormat="1"/>
    <xf numFmtId="2" fontId="0" fillId="0" borderId="0" xfId="0" applyNumberFormat="1"/>
    <xf numFmtId="164" fontId="0" fillId="0" borderId="0" xfId="2" applyNumberFormat="1" applyFont="1"/>
    <xf numFmtId="170" fontId="0" fillId="33" borderId="0" xfId="0" applyNumberFormat="1" applyFill="1"/>
  </cellXfs>
  <cellStyles count="45">
    <cellStyle name="20% - Accent1" xfId="21" builtinId="30" customBuiltin="1"/>
    <cellStyle name="20% - Accent2" xfId="25" builtinId="34" customBuiltin="1"/>
    <cellStyle name="20% - Accent3" xfId="29" builtinId="38" customBuiltin="1"/>
    <cellStyle name="20% - Accent4" xfId="33" builtinId="42" customBuiltin="1"/>
    <cellStyle name="20% - Accent5" xfId="37" builtinId="46" customBuiltin="1"/>
    <cellStyle name="20% - Accent6" xfId="41" builtinId="50" customBuiltin="1"/>
    <cellStyle name="40% - Accent1" xfId="22" builtinId="31" customBuiltin="1"/>
    <cellStyle name="40% - Accent2" xfId="26" builtinId="35" customBuiltin="1"/>
    <cellStyle name="40% - Accent3" xfId="30" builtinId="39" customBuiltin="1"/>
    <cellStyle name="40% - Accent4" xfId="34" builtinId="43" customBuiltin="1"/>
    <cellStyle name="40% - Accent5" xfId="38" builtinId="47" customBuiltin="1"/>
    <cellStyle name="40% - Accent6" xfId="42" builtinId="51" customBuiltin="1"/>
    <cellStyle name="60% - Accent1" xfId="23" builtinId="32" customBuiltin="1"/>
    <cellStyle name="60% - Accent2" xfId="27" builtinId="36" customBuiltin="1"/>
    <cellStyle name="60% - Accent3" xfId="31" builtinId="40" customBuiltin="1"/>
    <cellStyle name="60% - Accent4" xfId="35" builtinId="44" customBuiltin="1"/>
    <cellStyle name="60% - Accent5" xfId="39" builtinId="48" customBuiltin="1"/>
    <cellStyle name="60% - Accent6" xfId="43" builtinId="52" customBuiltin="1"/>
    <cellStyle name="Accent1" xfId="20" builtinId="29" customBuiltin="1"/>
    <cellStyle name="Accent2" xfId="24" builtinId="33" customBuiltin="1"/>
    <cellStyle name="Accent3" xfId="28" builtinId="37" customBuiltin="1"/>
    <cellStyle name="Accent4" xfId="32" builtinId="41" customBuiltin="1"/>
    <cellStyle name="Accent5" xfId="36" builtinId="45" customBuiltin="1"/>
    <cellStyle name="Accent6" xfId="40" builtinId="49" customBuiltin="1"/>
    <cellStyle name="Bad" xfId="9" builtinId="27" customBuiltin="1"/>
    <cellStyle name="Calculation" xfId="13" builtinId="22" customBuiltin="1"/>
    <cellStyle name="Check Cell" xfId="15" builtinId="23" customBuiltin="1"/>
    <cellStyle name="Currency" xfId="1" builtinId="4"/>
    <cellStyle name="Explanatory Text" xfId="18" builtinId="53" customBuiltin="1"/>
    <cellStyle name="Good" xfId="8" builtinId="26" customBuiltin="1"/>
    <cellStyle name="Heading 1" xfId="4" builtinId="16" customBuiltin="1"/>
    <cellStyle name="Heading 2" xfId="5" builtinId="17" customBuiltin="1"/>
    <cellStyle name="Heading 3" xfId="6" builtinId="18" customBuiltin="1"/>
    <cellStyle name="Heading 4" xfId="7" builtinId="19" customBuiltin="1"/>
    <cellStyle name="Hyperlink" xfId="44" builtinId="8"/>
    <cellStyle name="Input" xfId="11" builtinId="20" customBuiltin="1"/>
    <cellStyle name="Linked Cell" xfId="14" builtinId="24" customBuiltin="1"/>
    <cellStyle name="Neutral" xfId="10" builtinId="28" customBuiltin="1"/>
    <cellStyle name="Normal" xfId="0" builtinId="0"/>
    <cellStyle name="Note" xfId="17" builtinId="10" customBuiltin="1"/>
    <cellStyle name="Output" xfId="12" builtinId="21" customBuiltin="1"/>
    <cellStyle name="Percent" xfId="2" builtinId="5"/>
    <cellStyle name="Title" xfId="3" builtinId="15" customBuiltin="1"/>
    <cellStyle name="Total" xfId="19" builtinId="25" customBuiltin="1"/>
    <cellStyle name="Warning Text" xfId="16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57150</xdr:colOff>
      <xdr:row>10</xdr:row>
      <xdr:rowOff>28575</xdr:rowOff>
    </xdr:from>
    <xdr:ext cx="4696480" cy="1829055"/>
    <xdr:pic>
      <xdr:nvPicPr>
        <xdr:cNvPr id="2" name="Picture 1">
          <a:extLst>
            <a:ext uri="{FF2B5EF4-FFF2-40B4-BE49-F238E27FC236}">
              <a16:creationId xmlns:a16="http://schemas.microsoft.com/office/drawing/2014/main" id="{EF0910DD-016B-4382-B4E7-514ADC00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1933575"/>
          <a:ext cx="4696480" cy="1829055"/>
        </a:xfrm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oneCellAnchor>
        <xdr:from>
          <xdr:col>8</xdr:col>
          <xdr:colOff>285750</xdr:colOff>
          <xdr:row>5</xdr:row>
          <xdr:rowOff>85725</xdr:rowOff>
        </xdr:from>
        <xdr:ext cx="2505075" cy="561975"/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2237227C-5C01-4FC9-850A-7AF528F09AE1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1</xdr:col>
          <xdr:colOff>171450</xdr:colOff>
          <xdr:row>46</xdr:row>
          <xdr:rowOff>28575</xdr:rowOff>
        </xdr:from>
        <xdr:ext cx="4533900" cy="514350"/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3794D705-1826-4317-B495-426F035A3768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14</xdr:col>
          <xdr:colOff>523875</xdr:colOff>
          <xdr:row>50</xdr:row>
          <xdr:rowOff>123825</xdr:rowOff>
        </xdr:from>
        <xdr:ext cx="23926800" cy="3067050"/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B6F4E9C3-82F0-4E3F-9A31-FBE1C30E40A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cornellprod-my.sharepoint.com/personal/fdb34_cornell_edu/Documents/Stuff%20from%20Personal%20Microsoft%20account/McGraw_hall.xlsx" TargetMode="External"/><Relationship Id="rId1" Type="http://schemas.openxmlformats.org/officeDocument/2006/relationships/externalLinkPath" Target="https://cornellprod-my.sharepoint.com/personal/fdb34_cornell_edu/Documents/Stuff%20from%20Personal%20Microsoft%20account/McGraw_hall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Instructions"/>
      <sheetName val="Mcgraw Hall Steam data"/>
      <sheetName val="Results Summary"/>
      <sheetName val="Baseline chart"/>
      <sheetName val="Same year chart"/>
      <sheetName val="Baseline chart__22emissionsfact"/>
      <sheetName val="Same year chart__22emissions"/>
      <sheetName val="No-35-GWP100"/>
      <sheetName val="30-35-GWP100"/>
      <sheetName val="No-30-GWP100_2"/>
      <sheetName val="30-30-GWP100"/>
      <sheetName val="No-35-GWP20"/>
      <sheetName val="30-35-GWP20"/>
      <sheetName val="No-35-GWP100_22emissionsfactor"/>
      <sheetName val="30-35-GWP100_22emissionsfactor"/>
      <sheetName val="No-35-GWP20_22emissionsfactor"/>
      <sheetName val="30-35-GWP20_22emissionsfactor"/>
      <sheetName val="30-30-GWP100_22emissionsfactor"/>
      <sheetName val="No-35-GWP100_3_yearsbehind"/>
      <sheetName val="30-35-GWP100_3_years_behind"/>
      <sheetName val="No-35-GWP20_3_yearsbehind"/>
      <sheetName val="30-35-GWP20_3yearsbehind"/>
      <sheetName val="No-30-GWP100"/>
      <sheetName val="26-30-GWP100"/>
      <sheetName val="No-30-GWP20"/>
      <sheetName val="26-35-GWP20"/>
      <sheetName val="No-30-GWP100_22emissionsfactor"/>
      <sheetName val="No-30-GWP100_22emissionsfactor_"/>
      <sheetName val="26-30-GWP100_22emissionsfactor"/>
      <sheetName val="No-30-GWP20_22emissionsfactor"/>
      <sheetName val="26-30-GWP20_22emissionsfactor"/>
      <sheetName val="No-30-GWP100_3_yearsbehind"/>
      <sheetName val="26-30-GWP100_3_years_behind"/>
      <sheetName val="No-30-GWP20_3_yearsbehind"/>
      <sheetName val="26-30-GWP20_3yearsbehind"/>
      <sheetName val="No-Tony-GWP100"/>
      <sheetName val="30-Tony-GWP100 "/>
      <sheetName val="No-Tony-GWP20"/>
      <sheetName val="30-Tony-GWP20"/>
      <sheetName val="No-Tony-GWP100_draft"/>
      <sheetName val="26-Tony-GWP100"/>
      <sheetName val="26-Tony-GWP20"/>
      <sheetName val="Test Methane Calcs"/>
      <sheetName val="sources_202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7">
          <cell r="F7">
            <v>6.7576076026090661E-5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eia.gov/dnav/ng/hist/rngwhhdA.htm" TargetMode="External"/><Relationship Id="rId2" Type="http://schemas.openxmlformats.org/officeDocument/2006/relationships/hyperlink" Target="https://fcs.cornell.edu/sites/default/files/2024-05/Fast%20Facts%20FY23.pdf" TargetMode="External"/><Relationship Id="rId1" Type="http://schemas.openxmlformats.org/officeDocument/2006/relationships/hyperlink" Target="https://www.nyserda.ny.gov/All-Programs/Clean-Energy-Standard/LSE-Obligations/2023-Compliance-Year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3" Type="http://schemas.openxmlformats.org/officeDocument/2006/relationships/drawing" Target="../drawings/drawing1.xml"/><Relationship Id="rId7" Type="http://schemas.openxmlformats.org/officeDocument/2006/relationships/oleObject" Target="../embeddings/oleObject2.bin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eia.gov/environment/emissions/co2_vol_mass.php" TargetMode="External"/><Relationship Id="rId6" Type="http://schemas.openxmlformats.org/officeDocument/2006/relationships/image" Target="../media/image1.emf"/><Relationship Id="rId5" Type="http://schemas.openxmlformats.org/officeDocument/2006/relationships/oleObject" Target="../embeddings/oleObject1.bin"/><Relationship Id="rId10" Type="http://schemas.openxmlformats.org/officeDocument/2006/relationships/image" Target="../media/image3.emf"/><Relationship Id="rId4" Type="http://schemas.openxmlformats.org/officeDocument/2006/relationships/vmlDrawing" Target="../drawings/vmlDrawing1.vml"/><Relationship Id="rId9" Type="http://schemas.openxmlformats.org/officeDocument/2006/relationships/package" Target="../embeddings/Microsoft_Excel_Macro-Enabled_Worksheet.xlsm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34950-D98B-4D0C-968E-57CAEEFE7834}">
  <dimension ref="A1:D3"/>
  <sheetViews>
    <sheetView workbookViewId="0">
      <selection sqref="A1:D3"/>
    </sheetView>
  </sheetViews>
  <sheetFormatPr defaultRowHeight="15" x14ac:dyDescent="0.25"/>
  <sheetData>
    <row r="1" spans="1:4" x14ac:dyDescent="0.25">
      <c r="B1" t="s">
        <v>0</v>
      </c>
      <c r="C1" t="s">
        <v>1</v>
      </c>
      <c r="D1" t="s">
        <v>2</v>
      </c>
    </row>
    <row r="2" spans="1:4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</row>
    <row r="3" spans="1:4" x14ac:dyDescent="0.25">
      <c r="A3" t="s">
        <v>4</v>
      </c>
      <c r="B3">
        <f>'Solar capacity'!B1</f>
        <v>28</v>
      </c>
      <c r="C3">
        <v>0</v>
      </c>
      <c r="D3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52443-FF48-4306-84E7-345BC98B169D}">
  <dimension ref="A1:E3"/>
  <sheetViews>
    <sheetView tabSelected="1" workbookViewId="0">
      <selection activeCell="E3" sqref="E3"/>
    </sheetView>
  </sheetViews>
  <sheetFormatPr defaultRowHeight="15" x14ac:dyDescent="0.25"/>
  <sheetData>
    <row r="1" spans="1:5" x14ac:dyDescent="0.25">
      <c r="B1" t="s">
        <v>0</v>
      </c>
      <c r="C1" t="s">
        <v>1</v>
      </c>
      <c r="D1" t="s">
        <v>2</v>
      </c>
      <c r="E1" t="s">
        <v>106</v>
      </c>
    </row>
    <row r="2" spans="1:5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  <c r="E2">
        <f>'Data from CU Heat System'!C31</f>
        <v>0.30049059093607566</v>
      </c>
    </row>
    <row r="3" spans="1:5" x14ac:dyDescent="0.25">
      <c r="A3" t="s">
        <v>105</v>
      </c>
      <c r="B3">
        <v>100</v>
      </c>
      <c r="C3">
        <v>0</v>
      </c>
      <c r="D3">
        <v>0</v>
      </c>
      <c r="E3">
        <f>'Data from CU Heat System'!C40</f>
        <v>7.253325354010025E-3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A36725-CE00-4FD0-B5C8-B1742DDEDB12}">
  <dimension ref="A1:G36"/>
  <sheetViews>
    <sheetView topLeftCell="A4" workbookViewId="0">
      <selection activeCell="A24" sqref="A24"/>
    </sheetView>
  </sheetViews>
  <sheetFormatPr defaultRowHeight="15" x14ac:dyDescent="0.25"/>
  <cols>
    <col min="2" max="2" width="21.42578125" customWidth="1"/>
    <col min="6" max="6" width="14.28515625" bestFit="1" customWidth="1"/>
  </cols>
  <sheetData>
    <row r="1" spans="1:7" x14ac:dyDescent="0.25">
      <c r="A1" s="3" t="s">
        <v>41</v>
      </c>
    </row>
    <row r="2" spans="1:7" x14ac:dyDescent="0.25">
      <c r="A2" t="s">
        <v>40</v>
      </c>
      <c r="B2" s="7">
        <v>194000</v>
      </c>
      <c r="C2" t="s">
        <v>19</v>
      </c>
    </row>
    <row r="3" spans="1:7" x14ac:dyDescent="0.25">
      <c r="A3" t="s">
        <v>39</v>
      </c>
      <c r="B3" s="7">
        <v>5000</v>
      </c>
      <c r="C3" t="s">
        <v>19</v>
      </c>
    </row>
    <row r="4" spans="1:7" x14ac:dyDescent="0.25">
      <c r="A4" t="s">
        <v>38</v>
      </c>
      <c r="B4">
        <f>D4*1000</f>
        <v>40600</v>
      </c>
      <c r="C4" t="s">
        <v>19</v>
      </c>
      <c r="D4">
        <f>2.5+3.2+3.3+6.6+25</f>
        <v>40.6</v>
      </c>
      <c r="E4" t="s">
        <v>37</v>
      </c>
    </row>
    <row r="5" spans="1:7" x14ac:dyDescent="0.25">
      <c r="A5" t="s">
        <v>36</v>
      </c>
      <c r="B5">
        <f>28100+210800</f>
        <v>238900</v>
      </c>
      <c r="C5" t="s">
        <v>19</v>
      </c>
    </row>
    <row r="6" spans="1:7" x14ac:dyDescent="0.25">
      <c r="A6" t="s">
        <v>35</v>
      </c>
      <c r="B6" s="7">
        <v>5600</v>
      </c>
      <c r="C6" t="s">
        <v>19</v>
      </c>
    </row>
    <row r="7" spans="1:7" x14ac:dyDescent="0.25">
      <c r="A7" t="s">
        <v>34</v>
      </c>
      <c r="B7" s="7">
        <v>59600</v>
      </c>
      <c r="C7" t="s">
        <v>19</v>
      </c>
    </row>
    <row r="8" spans="1:7" x14ac:dyDescent="0.25">
      <c r="A8" t="s">
        <v>33</v>
      </c>
      <c r="B8" s="7">
        <v>19900</v>
      </c>
      <c r="C8" t="s">
        <v>19</v>
      </c>
    </row>
    <row r="9" spans="1:7" x14ac:dyDescent="0.25">
      <c r="A9" t="s">
        <v>32</v>
      </c>
      <c r="B9" s="7">
        <f>(2.28+0.32)*10^12</f>
        <v>2599999999999.9995</v>
      </c>
    </row>
    <row r="10" spans="1:7" x14ac:dyDescent="0.25">
      <c r="A10" t="s">
        <v>31</v>
      </c>
      <c r="B10">
        <v>125</v>
      </c>
    </row>
    <row r="11" spans="1:7" x14ac:dyDescent="0.25">
      <c r="A11" t="s">
        <v>30</v>
      </c>
      <c r="B11" s="7">
        <v>1000</v>
      </c>
    </row>
    <row r="12" spans="1:7" x14ac:dyDescent="0.25">
      <c r="B12" s="7"/>
    </row>
    <row r="13" spans="1:7" x14ac:dyDescent="0.25">
      <c r="A13" t="s">
        <v>29</v>
      </c>
      <c r="B13" s="7"/>
    </row>
    <row r="14" spans="1:7" x14ac:dyDescent="0.25">
      <c r="A14" t="s">
        <v>28</v>
      </c>
      <c r="C14" t="s">
        <v>27</v>
      </c>
      <c r="G14" t="s">
        <v>26</v>
      </c>
    </row>
    <row r="15" spans="1:7" x14ac:dyDescent="0.25">
      <c r="A15">
        <v>52.91</v>
      </c>
      <c r="C15">
        <v>1E-3</v>
      </c>
      <c r="G15">
        <v>1.10231E-3</v>
      </c>
    </row>
    <row r="16" spans="1:7" x14ac:dyDescent="0.25">
      <c r="A16" s="3" t="s">
        <v>25</v>
      </c>
      <c r="D16" t="s">
        <v>42</v>
      </c>
    </row>
    <row r="17" spans="1:6" x14ac:dyDescent="0.25">
      <c r="A17" t="s">
        <v>24</v>
      </c>
      <c r="B17">
        <f>2.53/10^6</f>
        <v>2.5299999999999999E-6</v>
      </c>
      <c r="D17">
        <v>5.2909999999999999E-2</v>
      </c>
      <c r="E17">
        <v>5.2909999999999999E-2</v>
      </c>
    </row>
    <row r="19" spans="1:6" x14ac:dyDescent="0.25">
      <c r="B19" s="7"/>
    </row>
    <row r="20" spans="1:6" x14ac:dyDescent="0.25">
      <c r="A20" t="s">
        <v>23</v>
      </c>
      <c r="B20" s="6">
        <f>B2+B6</f>
        <v>199600</v>
      </c>
      <c r="C20" t="s">
        <v>19</v>
      </c>
    </row>
    <row r="21" spans="1:6" x14ac:dyDescent="0.25">
      <c r="A21" t="s">
        <v>22</v>
      </c>
      <c r="B21" s="6">
        <f>B3</f>
        <v>5000</v>
      </c>
      <c r="C21" t="s">
        <v>19</v>
      </c>
    </row>
    <row r="22" spans="1:6" x14ac:dyDescent="0.25">
      <c r="A22" t="s">
        <v>21</v>
      </c>
      <c r="B22" s="5">
        <f>B4</f>
        <v>40600</v>
      </c>
      <c r="C22" t="s">
        <v>19</v>
      </c>
    </row>
    <row r="23" spans="1:6" x14ac:dyDescent="0.25">
      <c r="A23" t="s">
        <v>20</v>
      </c>
      <c r="B23" s="5">
        <f>B5</f>
        <v>238900</v>
      </c>
      <c r="C23" t="s">
        <v>19</v>
      </c>
    </row>
    <row r="24" spans="1:6" x14ac:dyDescent="0.25">
      <c r="A24" t="s">
        <v>18</v>
      </c>
      <c r="B24" s="6">
        <f>B7-B8-B6</f>
        <v>34100</v>
      </c>
    </row>
    <row r="26" spans="1:6" x14ac:dyDescent="0.25">
      <c r="A26" t="s">
        <v>17</v>
      </c>
      <c r="B26" s="5">
        <f>B9/(B23*B11)</f>
        <v>10883.214734198407</v>
      </c>
    </row>
    <row r="27" spans="1:6" x14ac:dyDescent="0.25">
      <c r="A27" t="s">
        <v>16</v>
      </c>
      <c r="B27" s="4">
        <f>1000*B17*$B$26</f>
        <v>27.534533277521973</v>
      </c>
    </row>
    <row r="28" spans="1:6" x14ac:dyDescent="0.25">
      <c r="A28" t="s">
        <v>43</v>
      </c>
      <c r="B28">
        <f>D17*$B$26*10^-3</f>
        <v>0.57583089158643774</v>
      </c>
    </row>
    <row r="29" spans="1:6" x14ac:dyDescent="0.25">
      <c r="A29" s="3" t="s">
        <v>15</v>
      </c>
    </row>
    <row r="30" spans="1:6" x14ac:dyDescent="0.25">
      <c r="B30" t="s">
        <v>14</v>
      </c>
      <c r="C30" t="s">
        <v>13</v>
      </c>
      <c r="D30" t="s">
        <v>12</v>
      </c>
      <c r="E30" t="s">
        <v>11</v>
      </c>
    </row>
    <row r="31" spans="1:6" x14ac:dyDescent="0.25">
      <c r="A31" t="s">
        <v>10</v>
      </c>
      <c r="B31">
        <v>20.100000000000001</v>
      </c>
      <c r="C31">
        <v>25.69</v>
      </c>
      <c r="D31">
        <v>36.619999999999997</v>
      </c>
      <c r="E31">
        <v>35.01</v>
      </c>
    </row>
    <row r="32" spans="1:6" x14ac:dyDescent="0.25">
      <c r="A32" t="s">
        <v>9</v>
      </c>
      <c r="B32">
        <f>$B$22/4</f>
        <v>10150</v>
      </c>
      <c r="C32">
        <f>$B$22/4</f>
        <v>10150</v>
      </c>
      <c r="D32">
        <f>$B$22/4</f>
        <v>10150</v>
      </c>
      <c r="E32">
        <f>$B$22/4</f>
        <v>10150</v>
      </c>
      <c r="F32" t="s">
        <v>8</v>
      </c>
    </row>
    <row r="33" spans="1:6" x14ac:dyDescent="0.25">
      <c r="A33" t="s">
        <v>7</v>
      </c>
      <c r="B33">
        <f>B32*B31</f>
        <v>204015</v>
      </c>
      <c r="C33">
        <f>C32*C31</f>
        <v>260753.5</v>
      </c>
      <c r="D33">
        <f>D32*D31</f>
        <v>371693</v>
      </c>
      <c r="E33">
        <f>E32*E31</f>
        <v>355351.5</v>
      </c>
      <c r="F33" s="2">
        <f>SUM(B33:E33)</f>
        <v>1191813</v>
      </c>
    </row>
    <row r="35" spans="1:6" x14ac:dyDescent="0.25">
      <c r="A35" t="s">
        <v>6</v>
      </c>
      <c r="B35">
        <f>B22*G15*B10</f>
        <v>5594.22325</v>
      </c>
    </row>
    <row r="36" spans="1:6" x14ac:dyDescent="0.25">
      <c r="A36" t="s">
        <v>5</v>
      </c>
      <c r="B36" s="1">
        <f>F33/B35</f>
        <v>213.04351770373125</v>
      </c>
    </row>
  </sheetData>
  <hyperlinks>
    <hyperlink ref="A29" r:id="rId1" xr:uid="{93C056F9-8819-4B85-BD2E-C834FF3DE50F}"/>
    <hyperlink ref="A1" r:id="rId2" xr:uid="{2D2CDFC1-4D97-4E5E-B273-1E0495CAD1F6}"/>
    <hyperlink ref="A16" r:id="rId3" xr:uid="{B731AFA2-F4F0-48C1-9288-FD17C2D2FFC7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E381C5-C612-4BF5-8D01-CE9D51DA350E}">
  <dimension ref="A1:N89"/>
  <sheetViews>
    <sheetView topLeftCell="A31" workbookViewId="0">
      <selection activeCell="E42" sqref="E42"/>
    </sheetView>
  </sheetViews>
  <sheetFormatPr defaultRowHeight="15" x14ac:dyDescent="0.25"/>
  <cols>
    <col min="2" max="2" width="13.85546875" customWidth="1"/>
  </cols>
  <sheetData>
    <row r="1" spans="2:5" x14ac:dyDescent="0.25">
      <c r="B1" t="s">
        <v>94</v>
      </c>
    </row>
    <row r="2" spans="2:5" x14ac:dyDescent="0.25">
      <c r="B2" s="3" t="s">
        <v>29</v>
      </c>
    </row>
    <row r="3" spans="2:5" x14ac:dyDescent="0.25">
      <c r="B3">
        <v>52.91</v>
      </c>
      <c r="C3" t="s">
        <v>93</v>
      </c>
      <c r="D3">
        <v>1E-3</v>
      </c>
      <c r="E3" t="s">
        <v>92</v>
      </c>
    </row>
    <row r="4" spans="2:5" x14ac:dyDescent="0.25">
      <c r="B4">
        <f>B3*D3</f>
        <v>5.2909999999999999E-2</v>
      </c>
      <c r="C4" t="s">
        <v>91</v>
      </c>
    </row>
    <row r="6" spans="2:5" x14ac:dyDescent="0.25">
      <c r="B6" t="s">
        <v>90</v>
      </c>
    </row>
    <row r="7" spans="2:5" x14ac:dyDescent="0.25">
      <c r="B7" s="9">
        <v>3.3000000000000002E-2</v>
      </c>
    </row>
    <row r="9" spans="2:5" x14ac:dyDescent="0.25">
      <c r="B9" t="s">
        <v>89</v>
      </c>
    </row>
    <row r="22" spans="2:14" x14ac:dyDescent="0.25">
      <c r="B22" t="s">
        <v>88</v>
      </c>
    </row>
    <row r="23" spans="2:14" x14ac:dyDescent="0.25">
      <c r="B23" s="3" t="s">
        <v>87</v>
      </c>
    </row>
    <row r="24" spans="2:14" x14ac:dyDescent="0.25">
      <c r="B24" t="s">
        <v>86</v>
      </c>
    </row>
    <row r="25" spans="2:14" x14ac:dyDescent="0.25">
      <c r="B25">
        <v>2.8</v>
      </c>
      <c r="C25" t="s">
        <v>78</v>
      </c>
      <c r="D25">
        <f>B25*10^6</f>
        <v>2800000</v>
      </c>
      <c r="E25" t="s">
        <v>84</v>
      </c>
    </row>
    <row r="26" spans="2:14" x14ac:dyDescent="0.25">
      <c r="C26" t="s">
        <v>85</v>
      </c>
      <c r="D26">
        <f>B81</f>
        <v>1.194E-3</v>
      </c>
      <c r="E26" t="s">
        <v>84</v>
      </c>
    </row>
    <row r="28" spans="2:14" x14ac:dyDescent="0.25">
      <c r="B28" t="s">
        <v>83</v>
      </c>
      <c r="G28" t="s">
        <v>82</v>
      </c>
      <c r="H28" t="s">
        <v>81</v>
      </c>
      <c r="L28" t="s">
        <v>80</v>
      </c>
      <c r="N28" t="s">
        <v>79</v>
      </c>
    </row>
    <row r="29" spans="2:14" x14ac:dyDescent="0.25">
      <c r="B29">
        <v>0.81</v>
      </c>
      <c r="C29" t="s">
        <v>78</v>
      </c>
      <c r="D29">
        <v>293071.07017222198</v>
      </c>
      <c r="E29" t="s">
        <v>77</v>
      </c>
      <c r="G29">
        <v>0.77</v>
      </c>
      <c r="H29">
        <v>0.24</v>
      </c>
      <c r="L29">
        <v>1.34</v>
      </c>
      <c r="N29">
        <v>0.79</v>
      </c>
    </row>
    <row r="30" spans="2:14" x14ac:dyDescent="0.25">
      <c r="B30" t="s">
        <v>76</v>
      </c>
      <c r="C30">
        <f>B29*D29</f>
        <v>237387.56683949981</v>
      </c>
    </row>
    <row r="31" spans="2:14" x14ac:dyDescent="0.25">
      <c r="B31" s="5" t="s">
        <v>75</v>
      </c>
      <c r="C31" s="5">
        <f>C30/D25/C45</f>
        <v>0.30049059093607566</v>
      </c>
    </row>
    <row r="32" spans="2:14" x14ac:dyDescent="0.25">
      <c r="C32">
        <f>C30/(10^6*N29)</f>
        <v>0.30049059093607572</v>
      </c>
    </row>
    <row r="33" spans="2:8" x14ac:dyDescent="0.25">
      <c r="G33">
        <f>L29/G29</f>
        <v>1.7402597402597404</v>
      </c>
      <c r="H33" t="s">
        <v>74</v>
      </c>
    </row>
    <row r="34" spans="2:8" x14ac:dyDescent="0.25">
      <c r="G34">
        <f>N29/(1-H29)</f>
        <v>1.0394736842105263</v>
      </c>
      <c r="H34" t="s">
        <v>73</v>
      </c>
    </row>
    <row r="36" spans="2:8" x14ac:dyDescent="0.25">
      <c r="B36" t="s">
        <v>72</v>
      </c>
      <c r="G36" t="s">
        <v>71</v>
      </c>
    </row>
    <row r="37" spans="2:8" x14ac:dyDescent="0.25">
      <c r="B37" t="s">
        <v>70</v>
      </c>
      <c r="C37">
        <v>15</v>
      </c>
      <c r="E37">
        <v>0.29307106999999999</v>
      </c>
      <c r="F37" t="s">
        <v>69</v>
      </c>
      <c r="G37" t="s">
        <v>68</v>
      </c>
    </row>
    <row r="38" spans="2:8" x14ac:dyDescent="0.25">
      <c r="B38" t="s">
        <v>67</v>
      </c>
      <c r="C38">
        <v>3.6</v>
      </c>
      <c r="G38">
        <f>G34/G33</f>
        <v>0.59730950510604863</v>
      </c>
      <c r="H38" t="s">
        <v>66</v>
      </c>
    </row>
    <row r="39" spans="2:8" x14ac:dyDescent="0.25">
      <c r="C39" t="s">
        <v>65</v>
      </c>
      <c r="D39" t="s">
        <v>64</v>
      </c>
      <c r="G39">
        <f>N29/G33</f>
        <v>0.453955223880597</v>
      </c>
      <c r="H39" t="s">
        <v>63</v>
      </c>
    </row>
    <row r="40" spans="2:8" x14ac:dyDescent="0.25">
      <c r="B40" t="s">
        <v>62</v>
      </c>
      <c r="C40">
        <f>C43/D$25</f>
        <v>7.253325354010025E-3</v>
      </c>
      <c r="D40">
        <f>(1/C37)*G38*E$37</f>
        <v>1.1670275718840009E-2</v>
      </c>
    </row>
    <row r="41" spans="2:8" x14ac:dyDescent="0.25">
      <c r="B41" t="s">
        <v>61</v>
      </c>
      <c r="C41">
        <f>C44/D$25</f>
        <v>2.2968863621031746E-2</v>
      </c>
      <c r="D41">
        <f>(1/C38)*G39*E$37</f>
        <v>3.6955873109660031E-2</v>
      </c>
      <c r="G41">
        <f>G38*(1-H29)</f>
        <v>0.45395522388059695</v>
      </c>
    </row>
    <row r="43" spans="2:8" x14ac:dyDescent="0.25">
      <c r="B43" t="s">
        <v>60</v>
      </c>
      <c r="C43">
        <f>(N29/(1-H29))*E37*10^6/C37</f>
        <v>20309.310991228071</v>
      </c>
    </row>
    <row r="44" spans="2:8" x14ac:dyDescent="0.25">
      <c r="B44" t="s">
        <v>59</v>
      </c>
      <c r="C44">
        <f>N29*E37*10^6/C38</f>
        <v>64312.818138888892</v>
      </c>
    </row>
    <row r="45" spans="2:8" x14ac:dyDescent="0.25">
      <c r="B45" t="s">
        <v>58</v>
      </c>
      <c r="C45">
        <f>N29/B25</f>
        <v>0.2821428571428572</v>
      </c>
    </row>
    <row r="46" spans="2:8" x14ac:dyDescent="0.25">
      <c r="B46" t="s">
        <v>57</v>
      </c>
    </row>
    <row r="49" spans="2:2" x14ac:dyDescent="0.25">
      <c r="B49" s="3"/>
    </row>
    <row r="50" spans="2:2" x14ac:dyDescent="0.25">
      <c r="B50" t="s">
        <v>56</v>
      </c>
    </row>
    <row r="68" spans="2:4" x14ac:dyDescent="0.25">
      <c r="B68" t="s">
        <v>55</v>
      </c>
    </row>
    <row r="69" spans="2:4" x14ac:dyDescent="0.25">
      <c r="B69" t="s">
        <v>54</v>
      </c>
      <c r="C69">
        <v>1.2</v>
      </c>
    </row>
    <row r="70" spans="2:4" x14ac:dyDescent="0.25">
      <c r="B70" t="s">
        <v>53</v>
      </c>
      <c r="C70">
        <v>2088</v>
      </c>
    </row>
    <row r="71" spans="2:4" x14ac:dyDescent="0.25">
      <c r="B71" t="s">
        <v>52</v>
      </c>
      <c r="C71">
        <v>9000</v>
      </c>
      <c r="D71" t="s">
        <v>51</v>
      </c>
    </row>
    <row r="72" spans="2:4" x14ac:dyDescent="0.25">
      <c r="B72" t="s">
        <v>50</v>
      </c>
      <c r="C72">
        <f>C69*C70*C71*0.00110231</f>
        <v>24857.531424000001</v>
      </c>
    </row>
    <row r="73" spans="2:4" x14ac:dyDescent="0.25">
      <c r="B73" t="s">
        <v>49</v>
      </c>
      <c r="C73" s="9">
        <f>C72/'[1]30-35-GWP100'!F7</f>
        <v>367845144.10695702</v>
      </c>
    </row>
    <row r="78" spans="2:4" x14ac:dyDescent="0.25">
      <c r="B78">
        <v>1</v>
      </c>
      <c r="C78" t="s">
        <v>44</v>
      </c>
    </row>
    <row r="79" spans="2:4" x14ac:dyDescent="0.25">
      <c r="B79">
        <v>1.194</v>
      </c>
      <c r="C79" t="s">
        <v>45</v>
      </c>
    </row>
    <row r="80" spans="2:4" x14ac:dyDescent="0.25">
      <c r="B80">
        <f>B78*B79</f>
        <v>1.194</v>
      </c>
      <c r="C80" t="s">
        <v>46</v>
      </c>
    </row>
    <row r="81" spans="1:4" x14ac:dyDescent="0.25">
      <c r="B81">
        <f>(B80/1000)</f>
        <v>1.194E-3</v>
      </c>
      <c r="C81" t="s">
        <v>47</v>
      </c>
    </row>
    <row r="83" spans="1:4" x14ac:dyDescent="0.25">
      <c r="B83" s="8">
        <v>4.5999999999999996</v>
      </c>
      <c r="C83" t="s">
        <v>48</v>
      </c>
    </row>
    <row r="84" spans="1:4" x14ac:dyDescent="0.25">
      <c r="B84" s="10">
        <f>B79/10^3</f>
        <v>1.194E-3</v>
      </c>
      <c r="C84" s="5" t="s">
        <v>95</v>
      </c>
    </row>
    <row r="86" spans="1:4" x14ac:dyDescent="0.25">
      <c r="B86" t="s">
        <v>96</v>
      </c>
    </row>
    <row r="87" spans="1:4" x14ac:dyDescent="0.25">
      <c r="B87" t="s">
        <v>97</v>
      </c>
      <c r="C87">
        <v>60000</v>
      </c>
      <c r="D87">
        <f>C87*B84</f>
        <v>71.64</v>
      </c>
    </row>
    <row r="88" spans="1:4" x14ac:dyDescent="0.25">
      <c r="A88" t="s">
        <v>98</v>
      </c>
      <c r="B88">
        <v>10</v>
      </c>
      <c r="C88">
        <v>15</v>
      </c>
    </row>
    <row r="89" spans="1:4" x14ac:dyDescent="0.25">
      <c r="A89" t="s">
        <v>99</v>
      </c>
      <c r="B89">
        <f>B88/$D$87</f>
        <v>0.13958682300390843</v>
      </c>
      <c r="C89">
        <f>C88/$D$87</f>
        <v>0.20938023450586266</v>
      </c>
    </row>
  </sheetData>
  <hyperlinks>
    <hyperlink ref="B2" r:id="rId1" xr:uid="{B8732587-EEA8-4832-9B26-EFF47D865209}"/>
  </hyperlinks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shapeId="4097" r:id="rId5">
          <objectPr defaultSize="0" autoPict="0" r:id="rId6">
            <anchor moveWithCells="1">
              <from>
                <xdr:col>8</xdr:col>
                <xdr:colOff>285750</xdr:colOff>
                <xdr:row>5</xdr:row>
                <xdr:rowOff>85725</xdr:rowOff>
              </from>
              <to>
                <xdr:col>12</xdr:col>
                <xdr:colOff>352425</xdr:colOff>
                <xdr:row>8</xdr:row>
                <xdr:rowOff>76200</xdr:rowOff>
              </to>
            </anchor>
          </objectPr>
        </oleObject>
      </mc:Choice>
      <mc:Fallback>
        <oleObject progId="Packager Shell Object" shapeId="4097" r:id="rId5"/>
      </mc:Fallback>
    </mc:AlternateContent>
    <mc:AlternateContent xmlns:mc="http://schemas.openxmlformats.org/markup-compatibility/2006">
      <mc:Choice Requires="x14">
        <oleObject progId="Packager Shell Object" shapeId="4098" r:id="rId7">
          <objectPr defaultSize="0" r:id="rId8">
            <anchor moveWithCells="1">
              <from>
                <xdr:col>1</xdr:col>
                <xdr:colOff>171450</xdr:colOff>
                <xdr:row>46</xdr:row>
                <xdr:rowOff>28575</xdr:rowOff>
              </from>
              <to>
                <xdr:col>8</xdr:col>
                <xdr:colOff>123825</xdr:colOff>
                <xdr:row>48</xdr:row>
                <xdr:rowOff>161925</xdr:rowOff>
              </to>
            </anchor>
          </objectPr>
        </oleObject>
      </mc:Choice>
      <mc:Fallback>
        <oleObject progId="Packager Shell Object" shapeId="4098" r:id="rId7"/>
      </mc:Fallback>
    </mc:AlternateContent>
    <mc:AlternateContent xmlns:mc="http://schemas.openxmlformats.org/markup-compatibility/2006">
      <mc:Choice Requires="x14">
        <oleObject progId="Macro-Enabled Worksheet" shapeId="4099" r:id="rId9">
          <objectPr defaultSize="0" autoPict="0" r:id="rId10">
            <anchor moveWithCells="1">
              <from>
                <xdr:col>14</xdr:col>
                <xdr:colOff>523875</xdr:colOff>
                <xdr:row>50</xdr:row>
                <xdr:rowOff>123825</xdr:rowOff>
              </from>
              <to>
                <xdr:col>54</xdr:col>
                <xdr:colOff>66675</xdr:colOff>
                <xdr:row>66</xdr:row>
                <xdr:rowOff>142875</xdr:rowOff>
              </to>
            </anchor>
          </objectPr>
        </oleObject>
      </mc:Choice>
      <mc:Fallback>
        <oleObject progId="Macro-Enabled Worksheet" shapeId="4099" r:id="rId9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7DAC06-713E-458A-8F20-1DBBC922798B}">
  <dimension ref="A1:D4"/>
  <sheetViews>
    <sheetView workbookViewId="0">
      <selection activeCell="C4" sqref="C4"/>
    </sheetView>
  </sheetViews>
  <sheetFormatPr defaultRowHeight="15" x14ac:dyDescent="0.25"/>
  <sheetData>
    <row r="1" spans="1:4" x14ac:dyDescent="0.25">
      <c r="A1" t="s">
        <v>100</v>
      </c>
      <c r="B1">
        <f>2+2+2+4+18</f>
        <v>28</v>
      </c>
      <c r="D1" t="s">
        <v>101</v>
      </c>
    </row>
    <row r="3" spans="1:4" x14ac:dyDescent="0.25">
      <c r="C3" t="s">
        <v>103</v>
      </c>
      <c r="D3" t="s">
        <v>102</v>
      </c>
    </row>
    <row r="4" spans="1:4" x14ac:dyDescent="0.25">
      <c r="C4" t="s">
        <v>104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Gen_data_CU</vt:lpstr>
      <vt:lpstr>Heat_CU_data</vt:lpstr>
      <vt:lpstr>Q1-5</vt:lpstr>
      <vt:lpstr>Data from CU Heat System</vt:lpstr>
      <vt:lpstr>Solar capacity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Josias Kaiyutah</dc:creator>
  <cp:lastModifiedBy>Fenya Deva Weasel Bartram</cp:lastModifiedBy>
  <dcterms:created xsi:type="dcterms:W3CDTF">2024-11-10T02:01:33Z</dcterms:created>
  <dcterms:modified xsi:type="dcterms:W3CDTF">2024-11-10T05:53:37Z</dcterms:modified>
</cp:coreProperties>
</file>